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VsBu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color rgb="001C1A17"/>
      <sz val="16"/>
    </font>
    <font>
      <i val="1"/>
      <color rgb="0057534A"/>
      <sz val="10"/>
    </font>
    <font>
      <b val="1"/>
      <color rgb="001C1A17"/>
      <sz val="11"/>
    </font>
    <font>
      <color rgb="001C1A17"/>
      <sz val="11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4EFE7"/>
      </patternFill>
    </fill>
    <fill>
      <patternFill patternType="solid">
        <fgColor rgb="00F4F1E9"/>
      </patternFill>
    </fill>
    <fill>
      <patternFill patternType="solid">
        <fgColor rgb="0012523A"/>
      </patternFill>
    </fill>
  </fills>
  <borders count="2">
    <border>
      <left/>
      <right/>
      <top/>
      <bottom/>
      <diagonal/>
    </border>
    <border>
      <left style="thin">
        <color rgb="00D5CFC0"/>
      </left>
      <right style="thin">
        <color rgb="00D5CFC0"/>
      </right>
      <top style="thin">
        <color rgb="00D5CFC0"/>
      </top>
      <bottom style="thin">
        <color rgb="00D5CF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4" fillId="2" borderId="1" pivotButton="0" quotePrefix="0" xfId="0"/>
    <xf numFmtId="10" fontId="4" fillId="2" borderId="1" pivotButton="0" quotePrefix="0" xfId="0"/>
    <xf numFmtId="165" fontId="4" fillId="3" borderId="1" pivotButton="0" quotePrefix="0" xfId="0"/>
    <xf numFmtId="164" fontId="4" fillId="3" borderId="1" pivotButton="0" quotePrefix="0" xfId="0"/>
    <xf numFmtId="0" fontId="5" fillId="4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61"/>
  <sheetViews>
    <sheetView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3" customWidth="1" min="4" max="4"/>
    <col width="8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B1" s="1" t="inlineStr">
        <is>
          <t>Rent vs. buy - full opportunity cost</t>
        </is>
      </c>
    </row>
    <row r="2">
      <c r="B2" s="2" t="inlineStr">
        <is>
          <t>Owner vs. renter net worth, yearly. Includes invested down payment, maintenance, and 6% selling costs.</t>
        </is>
      </c>
    </row>
    <row r="3">
      <c r="B3" s="2" t="inlineStr">
        <is>
          <t>From Quiet Zeros — free, private calculators. Green cells are inputs; everything else recalculates.</t>
        </is>
      </c>
    </row>
    <row r="4">
      <c r="B4" s="3" t="inlineStr">
        <is>
          <t>Inputs</t>
        </is>
      </c>
    </row>
    <row r="5">
      <c r="B5" s="4" t="inlineStr">
        <is>
          <t>Home price</t>
        </is>
      </c>
      <c r="C5" s="5" t="n">
        <v>425000</v>
      </c>
    </row>
    <row r="6">
      <c r="B6" s="4" t="inlineStr">
        <is>
          <t>Down payment (%)</t>
        </is>
      </c>
      <c r="C6" s="6" t="n">
        <v>0.2</v>
      </c>
    </row>
    <row r="7">
      <c r="B7" s="4" t="inlineStr">
        <is>
          <t>Mortgage rate</t>
        </is>
      </c>
      <c r="C7" s="6" t="n">
        <v>0.065</v>
      </c>
    </row>
    <row r="8">
      <c r="B8" s="4" t="inlineStr">
        <is>
          <t>Property tax (%/yr)</t>
        </is>
      </c>
      <c r="C8" s="6" t="n">
        <v>0.011</v>
      </c>
    </row>
    <row r="9">
      <c r="B9" s="4" t="inlineStr">
        <is>
          <t>Maintenance+insurance (%/yr)</t>
        </is>
      </c>
      <c r="C9" s="6" t="n">
        <v>0.015</v>
      </c>
    </row>
    <row r="10">
      <c r="B10" s="4" t="inlineStr">
        <is>
          <t>Appreciation (%/yr)</t>
        </is>
      </c>
      <c r="C10" s="6" t="n">
        <v>0.035</v>
      </c>
    </row>
    <row r="11">
      <c r="B11" s="4" t="inlineStr">
        <is>
          <t>Rent today (monthly)</t>
        </is>
      </c>
      <c r="C11" s="5" t="n">
        <v>2200</v>
      </c>
    </row>
    <row r="12">
      <c r="B12" s="4" t="inlineStr">
        <is>
          <t>Rent growth (%/yr)</t>
        </is>
      </c>
      <c r="C12" s="6" t="n">
        <v>0.03</v>
      </c>
    </row>
    <row r="13">
      <c r="B13" s="4" t="inlineStr">
        <is>
          <t>Investment return (%/yr)</t>
        </is>
      </c>
      <c r="C13" s="6" t="n">
        <v>0.07000000000000001</v>
      </c>
    </row>
    <row r="15">
      <c r="B15" s="4" t="inlineStr">
        <is>
          <t>Monthly P&amp;I (computed)</t>
        </is>
      </c>
      <c r="C15" s="7">
        <f>-PMT(C7/12,360,C5*(1-C6))</f>
        <v/>
      </c>
    </row>
    <row r="16">
      <c r="B16" s="4" t="inlineStr">
        <is>
          <t>Renter starting portfolio (down + 3% closing)</t>
        </is>
      </c>
      <c r="C16" s="8">
        <f>C5*C6+C5*0.03</f>
        <v/>
      </c>
    </row>
    <row r="18">
      <c r="B18" s="2" t="inlineStr">
        <is>
          <t>Yearly model (annual approximation of the web tool's monthly engine).</t>
        </is>
      </c>
    </row>
    <row r="20">
      <c r="E20" s="9" t="inlineStr">
        <is>
          <t>Year</t>
        </is>
      </c>
      <c r="F20" s="9" t="inlineStr">
        <is>
          <t>Home value</t>
        </is>
      </c>
      <c r="G20" s="9" t="inlineStr">
        <is>
          <t>Loan balance</t>
        </is>
      </c>
      <c r="H20" s="9" t="inlineStr">
        <is>
          <t>Owner net worth</t>
        </is>
      </c>
      <c r="I20" s="9" t="inlineStr">
        <is>
          <t>Renter net worth</t>
        </is>
      </c>
    </row>
    <row r="21">
      <c r="E21" t="n">
        <v>0</v>
      </c>
      <c r="F21" s="10">
        <f>C5</f>
        <v/>
      </c>
      <c r="G21" s="10">
        <f>C5*(1-C6)</f>
        <v/>
      </c>
      <c r="H21" s="10">
        <f>F21*0.94-G21</f>
        <v/>
      </c>
      <c r="I21" s="10">
        <f>C16</f>
        <v/>
      </c>
    </row>
    <row r="22">
      <c r="E22" t="n">
        <v>1</v>
      </c>
      <c r="F22" s="10">
        <f>F21*(1+$C$10)</f>
        <v/>
      </c>
      <c r="G22" s="10">
        <f>MAX(0,G21*(1+$C$7)-$C$15*12)</f>
        <v/>
      </c>
      <c r="H22" s="10">
        <f>F22*0.94-G22</f>
        <v/>
      </c>
      <c r="I22" s="10">
        <f>I21*(1+$C$13)+MAX(0,($C$15*12+F21*($C$8+$C$9))-$C$11*12*(1+$C$12)^(0))</f>
        <v/>
      </c>
    </row>
    <row r="23">
      <c r="E23" t="n">
        <v>2</v>
      </c>
      <c r="F23" s="10">
        <f>F22*(1+$C$10)</f>
        <v/>
      </c>
      <c r="G23" s="10">
        <f>MAX(0,G22*(1+$C$7)-$C$15*12)</f>
        <v/>
      </c>
      <c r="H23" s="10">
        <f>F23*0.94-G23</f>
        <v/>
      </c>
      <c r="I23" s="10">
        <f>I22*(1+$C$13)+MAX(0,($C$15*12+F22*($C$8+$C$9))-$C$11*12*(1+$C$12)^(1))</f>
        <v/>
      </c>
    </row>
    <row r="24">
      <c r="E24" t="n">
        <v>3</v>
      </c>
      <c r="F24" s="10">
        <f>F23*(1+$C$10)</f>
        <v/>
      </c>
      <c r="G24" s="10">
        <f>MAX(0,G23*(1+$C$7)-$C$15*12)</f>
        <v/>
      </c>
      <c r="H24" s="10">
        <f>F24*0.94-G24</f>
        <v/>
      </c>
      <c r="I24" s="10">
        <f>I23*(1+$C$13)+MAX(0,($C$15*12+F23*($C$8+$C$9))-$C$11*12*(1+$C$12)^(2))</f>
        <v/>
      </c>
    </row>
    <row r="25">
      <c r="E25" t="n">
        <v>4</v>
      </c>
      <c r="F25" s="10">
        <f>F24*(1+$C$10)</f>
        <v/>
      </c>
      <c r="G25" s="10">
        <f>MAX(0,G24*(1+$C$7)-$C$15*12)</f>
        <v/>
      </c>
      <c r="H25" s="10">
        <f>F25*0.94-G25</f>
        <v/>
      </c>
      <c r="I25" s="10">
        <f>I24*(1+$C$13)+MAX(0,($C$15*12+F24*($C$8+$C$9))-$C$11*12*(1+$C$12)^(3))</f>
        <v/>
      </c>
    </row>
    <row r="26">
      <c r="E26" t="n">
        <v>5</v>
      </c>
      <c r="F26" s="10">
        <f>F25*(1+$C$10)</f>
        <v/>
      </c>
      <c r="G26" s="10">
        <f>MAX(0,G25*(1+$C$7)-$C$15*12)</f>
        <v/>
      </c>
      <c r="H26" s="10">
        <f>F26*0.94-G26</f>
        <v/>
      </c>
      <c r="I26" s="10">
        <f>I25*(1+$C$13)+MAX(0,($C$15*12+F25*($C$8+$C$9))-$C$11*12*(1+$C$12)^(4))</f>
        <v/>
      </c>
    </row>
    <row r="27">
      <c r="E27" t="n">
        <v>6</v>
      </c>
      <c r="F27" s="10">
        <f>F26*(1+$C$10)</f>
        <v/>
      </c>
      <c r="G27" s="10">
        <f>MAX(0,G26*(1+$C$7)-$C$15*12)</f>
        <v/>
      </c>
      <c r="H27" s="10">
        <f>F27*0.94-G27</f>
        <v/>
      </c>
      <c r="I27" s="10">
        <f>I26*(1+$C$13)+MAX(0,($C$15*12+F26*($C$8+$C$9))-$C$11*12*(1+$C$12)^(5))</f>
        <v/>
      </c>
    </row>
    <row r="28">
      <c r="E28" t="n">
        <v>7</v>
      </c>
      <c r="F28" s="10">
        <f>F27*(1+$C$10)</f>
        <v/>
      </c>
      <c r="G28" s="10">
        <f>MAX(0,G27*(1+$C$7)-$C$15*12)</f>
        <v/>
      </c>
      <c r="H28" s="10">
        <f>F28*0.94-G28</f>
        <v/>
      </c>
      <c r="I28" s="10">
        <f>I27*(1+$C$13)+MAX(0,($C$15*12+F27*($C$8+$C$9))-$C$11*12*(1+$C$12)^(6))</f>
        <v/>
      </c>
    </row>
    <row r="29">
      <c r="E29" t="n">
        <v>8</v>
      </c>
      <c r="F29" s="10">
        <f>F28*(1+$C$10)</f>
        <v/>
      </c>
      <c r="G29" s="10">
        <f>MAX(0,G28*(1+$C$7)-$C$15*12)</f>
        <v/>
      </c>
      <c r="H29" s="10">
        <f>F29*0.94-G29</f>
        <v/>
      </c>
      <c r="I29" s="10">
        <f>I28*(1+$C$13)+MAX(0,($C$15*12+F28*($C$8+$C$9))-$C$11*12*(1+$C$12)^(7))</f>
        <v/>
      </c>
    </row>
    <row r="30">
      <c r="E30" t="n">
        <v>9</v>
      </c>
      <c r="F30" s="10">
        <f>F29*(1+$C$10)</f>
        <v/>
      </c>
      <c r="G30" s="10">
        <f>MAX(0,G29*(1+$C$7)-$C$15*12)</f>
        <v/>
      </c>
      <c r="H30" s="10">
        <f>F30*0.94-G30</f>
        <v/>
      </c>
      <c r="I30" s="10">
        <f>I29*(1+$C$13)+MAX(0,($C$15*12+F29*($C$8+$C$9))-$C$11*12*(1+$C$12)^(8))</f>
        <v/>
      </c>
    </row>
    <row r="31">
      <c r="E31" t="n">
        <v>10</v>
      </c>
      <c r="F31" s="10">
        <f>F30*(1+$C$10)</f>
        <v/>
      </c>
      <c r="G31" s="10">
        <f>MAX(0,G30*(1+$C$7)-$C$15*12)</f>
        <v/>
      </c>
      <c r="H31" s="10">
        <f>F31*0.94-G31</f>
        <v/>
      </c>
      <c r="I31" s="10">
        <f>I30*(1+$C$13)+MAX(0,($C$15*12+F30*($C$8+$C$9))-$C$11*12*(1+$C$12)^(9))</f>
        <v/>
      </c>
    </row>
    <row r="32">
      <c r="E32" t="n">
        <v>11</v>
      </c>
      <c r="F32" s="10">
        <f>F31*(1+$C$10)</f>
        <v/>
      </c>
      <c r="G32" s="10">
        <f>MAX(0,G31*(1+$C$7)-$C$15*12)</f>
        <v/>
      </c>
      <c r="H32" s="10">
        <f>F32*0.94-G32</f>
        <v/>
      </c>
      <c r="I32" s="10">
        <f>I31*(1+$C$13)+MAX(0,($C$15*12+F31*($C$8+$C$9))-$C$11*12*(1+$C$12)^(10))</f>
        <v/>
      </c>
    </row>
    <row r="33">
      <c r="E33" t="n">
        <v>12</v>
      </c>
      <c r="F33" s="10">
        <f>F32*(1+$C$10)</f>
        <v/>
      </c>
      <c r="G33" s="10">
        <f>MAX(0,G32*(1+$C$7)-$C$15*12)</f>
        <v/>
      </c>
      <c r="H33" s="10">
        <f>F33*0.94-G33</f>
        <v/>
      </c>
      <c r="I33" s="10">
        <f>I32*(1+$C$13)+MAX(0,($C$15*12+F32*($C$8+$C$9))-$C$11*12*(1+$C$12)^(11))</f>
        <v/>
      </c>
    </row>
    <row r="34">
      <c r="E34" t="n">
        <v>13</v>
      </c>
      <c r="F34" s="10">
        <f>F33*(1+$C$10)</f>
        <v/>
      </c>
      <c r="G34" s="10">
        <f>MAX(0,G33*(1+$C$7)-$C$15*12)</f>
        <v/>
      </c>
      <c r="H34" s="10">
        <f>F34*0.94-G34</f>
        <v/>
      </c>
      <c r="I34" s="10">
        <f>I33*(1+$C$13)+MAX(0,($C$15*12+F33*($C$8+$C$9))-$C$11*12*(1+$C$12)^(12))</f>
        <v/>
      </c>
    </row>
    <row r="35">
      <c r="E35" t="n">
        <v>14</v>
      </c>
      <c r="F35" s="10">
        <f>F34*(1+$C$10)</f>
        <v/>
      </c>
      <c r="G35" s="10">
        <f>MAX(0,G34*(1+$C$7)-$C$15*12)</f>
        <v/>
      </c>
      <c r="H35" s="10">
        <f>F35*0.94-G35</f>
        <v/>
      </c>
      <c r="I35" s="10">
        <f>I34*(1+$C$13)+MAX(0,($C$15*12+F34*($C$8+$C$9))-$C$11*12*(1+$C$12)^(13))</f>
        <v/>
      </c>
    </row>
    <row r="36">
      <c r="E36" t="n">
        <v>15</v>
      </c>
      <c r="F36" s="10">
        <f>F35*(1+$C$10)</f>
        <v/>
      </c>
      <c r="G36" s="10">
        <f>MAX(0,G35*(1+$C$7)-$C$15*12)</f>
        <v/>
      </c>
      <c r="H36" s="10">
        <f>F36*0.94-G36</f>
        <v/>
      </c>
      <c r="I36" s="10">
        <f>I35*(1+$C$13)+MAX(0,($C$15*12+F35*($C$8+$C$9))-$C$11*12*(1+$C$12)^(14))</f>
        <v/>
      </c>
    </row>
    <row r="37">
      <c r="E37" t="n">
        <v>16</v>
      </c>
      <c r="F37" s="10">
        <f>F36*(1+$C$10)</f>
        <v/>
      </c>
      <c r="G37" s="10">
        <f>MAX(0,G36*(1+$C$7)-$C$15*12)</f>
        <v/>
      </c>
      <c r="H37" s="10">
        <f>F37*0.94-G37</f>
        <v/>
      </c>
      <c r="I37" s="10">
        <f>I36*(1+$C$13)+MAX(0,($C$15*12+F36*($C$8+$C$9))-$C$11*12*(1+$C$12)^(15))</f>
        <v/>
      </c>
    </row>
    <row r="38">
      <c r="E38" t="n">
        <v>17</v>
      </c>
      <c r="F38" s="10">
        <f>F37*(1+$C$10)</f>
        <v/>
      </c>
      <c r="G38" s="10">
        <f>MAX(0,G37*(1+$C$7)-$C$15*12)</f>
        <v/>
      </c>
      <c r="H38" s="10">
        <f>F38*0.94-G38</f>
        <v/>
      </c>
      <c r="I38" s="10">
        <f>I37*(1+$C$13)+MAX(0,($C$15*12+F37*($C$8+$C$9))-$C$11*12*(1+$C$12)^(16))</f>
        <v/>
      </c>
    </row>
    <row r="39">
      <c r="E39" t="n">
        <v>18</v>
      </c>
      <c r="F39" s="10">
        <f>F38*(1+$C$10)</f>
        <v/>
      </c>
      <c r="G39" s="10">
        <f>MAX(0,G38*(1+$C$7)-$C$15*12)</f>
        <v/>
      </c>
      <c r="H39" s="10">
        <f>F39*0.94-G39</f>
        <v/>
      </c>
      <c r="I39" s="10">
        <f>I38*(1+$C$13)+MAX(0,($C$15*12+F38*($C$8+$C$9))-$C$11*12*(1+$C$12)^(17))</f>
        <v/>
      </c>
    </row>
    <row r="40">
      <c r="E40" t="n">
        <v>19</v>
      </c>
      <c r="F40" s="10">
        <f>F39*(1+$C$10)</f>
        <v/>
      </c>
      <c r="G40" s="10">
        <f>MAX(0,G39*(1+$C$7)-$C$15*12)</f>
        <v/>
      </c>
      <c r="H40" s="10">
        <f>F40*0.94-G40</f>
        <v/>
      </c>
      <c r="I40" s="10">
        <f>I39*(1+$C$13)+MAX(0,($C$15*12+F39*($C$8+$C$9))-$C$11*12*(1+$C$12)^(18))</f>
        <v/>
      </c>
    </row>
    <row r="41">
      <c r="E41" t="n">
        <v>20</v>
      </c>
      <c r="F41" s="10">
        <f>F40*(1+$C$10)</f>
        <v/>
      </c>
      <c r="G41" s="10">
        <f>MAX(0,G40*(1+$C$7)-$C$15*12)</f>
        <v/>
      </c>
      <c r="H41" s="10">
        <f>F41*0.94-G41</f>
        <v/>
      </c>
      <c r="I41" s="10">
        <f>I40*(1+$C$13)+MAX(0,($C$15*12+F40*($C$8+$C$9))-$C$11*12*(1+$C$12)^(19))</f>
        <v/>
      </c>
    </row>
    <row r="42">
      <c r="E42" t="n">
        <v>21</v>
      </c>
      <c r="F42" s="10">
        <f>F41*(1+$C$10)</f>
        <v/>
      </c>
      <c r="G42" s="10">
        <f>MAX(0,G41*(1+$C$7)-$C$15*12)</f>
        <v/>
      </c>
      <c r="H42" s="10">
        <f>F42*0.94-G42</f>
        <v/>
      </c>
      <c r="I42" s="10">
        <f>I41*(1+$C$13)+MAX(0,($C$15*12+F41*($C$8+$C$9))-$C$11*12*(1+$C$12)^(20))</f>
        <v/>
      </c>
    </row>
    <row r="43">
      <c r="E43" t="n">
        <v>22</v>
      </c>
      <c r="F43" s="10">
        <f>F42*(1+$C$10)</f>
        <v/>
      </c>
      <c r="G43" s="10">
        <f>MAX(0,G42*(1+$C$7)-$C$15*12)</f>
        <v/>
      </c>
      <c r="H43" s="10">
        <f>F43*0.94-G43</f>
        <v/>
      </c>
      <c r="I43" s="10">
        <f>I42*(1+$C$13)+MAX(0,($C$15*12+F42*($C$8+$C$9))-$C$11*12*(1+$C$12)^(21))</f>
        <v/>
      </c>
    </row>
    <row r="44">
      <c r="E44" t="n">
        <v>23</v>
      </c>
      <c r="F44" s="10">
        <f>F43*(1+$C$10)</f>
        <v/>
      </c>
      <c r="G44" s="10">
        <f>MAX(0,G43*(1+$C$7)-$C$15*12)</f>
        <v/>
      </c>
      <c r="H44" s="10">
        <f>F44*0.94-G44</f>
        <v/>
      </c>
      <c r="I44" s="10">
        <f>I43*(1+$C$13)+MAX(0,($C$15*12+F43*($C$8+$C$9))-$C$11*12*(1+$C$12)^(22))</f>
        <v/>
      </c>
    </row>
    <row r="45">
      <c r="E45" t="n">
        <v>24</v>
      </c>
      <c r="F45" s="10">
        <f>F44*(1+$C$10)</f>
        <v/>
      </c>
      <c r="G45" s="10">
        <f>MAX(0,G44*(1+$C$7)-$C$15*12)</f>
        <v/>
      </c>
      <c r="H45" s="10">
        <f>F45*0.94-G45</f>
        <v/>
      </c>
      <c r="I45" s="10">
        <f>I44*(1+$C$13)+MAX(0,($C$15*12+F44*($C$8+$C$9))-$C$11*12*(1+$C$12)^(23))</f>
        <v/>
      </c>
    </row>
    <row r="46">
      <c r="E46" t="n">
        <v>25</v>
      </c>
      <c r="F46" s="10">
        <f>F45*(1+$C$10)</f>
        <v/>
      </c>
      <c r="G46" s="10">
        <f>MAX(0,G45*(1+$C$7)-$C$15*12)</f>
        <v/>
      </c>
      <c r="H46" s="10">
        <f>F46*0.94-G46</f>
        <v/>
      </c>
      <c r="I46" s="10">
        <f>I45*(1+$C$13)+MAX(0,($C$15*12+F45*($C$8+$C$9))-$C$11*12*(1+$C$12)^(24))</f>
        <v/>
      </c>
    </row>
    <row r="47">
      <c r="E47" t="n">
        <v>26</v>
      </c>
      <c r="F47" s="10">
        <f>F46*(1+$C$10)</f>
        <v/>
      </c>
      <c r="G47" s="10">
        <f>MAX(0,G46*(1+$C$7)-$C$15*12)</f>
        <v/>
      </c>
      <c r="H47" s="10">
        <f>F47*0.94-G47</f>
        <v/>
      </c>
      <c r="I47" s="10">
        <f>I46*(1+$C$13)+MAX(0,($C$15*12+F46*($C$8+$C$9))-$C$11*12*(1+$C$12)^(25))</f>
        <v/>
      </c>
    </row>
    <row r="48">
      <c r="E48" t="n">
        <v>27</v>
      </c>
      <c r="F48" s="10">
        <f>F47*(1+$C$10)</f>
        <v/>
      </c>
      <c r="G48" s="10">
        <f>MAX(0,G47*(1+$C$7)-$C$15*12)</f>
        <v/>
      </c>
      <c r="H48" s="10">
        <f>F48*0.94-G48</f>
        <v/>
      </c>
      <c r="I48" s="10">
        <f>I47*(1+$C$13)+MAX(0,($C$15*12+F47*($C$8+$C$9))-$C$11*12*(1+$C$12)^(26))</f>
        <v/>
      </c>
    </row>
    <row r="49">
      <c r="E49" t="n">
        <v>28</v>
      </c>
      <c r="F49" s="10">
        <f>F48*(1+$C$10)</f>
        <v/>
      </c>
      <c r="G49" s="10">
        <f>MAX(0,G48*(1+$C$7)-$C$15*12)</f>
        <v/>
      </c>
      <c r="H49" s="10">
        <f>F49*0.94-G49</f>
        <v/>
      </c>
      <c r="I49" s="10">
        <f>I48*(1+$C$13)+MAX(0,($C$15*12+F48*($C$8+$C$9))-$C$11*12*(1+$C$12)^(27))</f>
        <v/>
      </c>
    </row>
    <row r="50">
      <c r="E50" t="n">
        <v>29</v>
      </c>
      <c r="F50" s="10">
        <f>F49*(1+$C$10)</f>
        <v/>
      </c>
      <c r="G50" s="10">
        <f>MAX(0,G49*(1+$C$7)-$C$15*12)</f>
        <v/>
      </c>
      <c r="H50" s="10">
        <f>F50*0.94-G50</f>
        <v/>
      </c>
      <c r="I50" s="10">
        <f>I49*(1+$C$13)+MAX(0,($C$15*12+F49*($C$8+$C$9))-$C$11*12*(1+$C$12)^(28))</f>
        <v/>
      </c>
    </row>
    <row r="51">
      <c r="E51" t="n">
        <v>30</v>
      </c>
      <c r="F51" s="10">
        <f>F50*(1+$C$10)</f>
        <v/>
      </c>
      <c r="G51" s="10">
        <f>MAX(0,G50*(1+$C$7)-$C$15*12)</f>
        <v/>
      </c>
      <c r="H51" s="10">
        <f>F51*0.94-G51</f>
        <v/>
      </c>
      <c r="I51" s="10">
        <f>I50*(1+$C$13)+MAX(0,($C$15*12+F50*($C$8+$C$9))-$C$11*12*(1+$C$12)^(29))</f>
        <v/>
      </c>
    </row>
    <row r="52">
      <c r="E52" t="n">
        <v>31</v>
      </c>
      <c r="F52" s="10">
        <f>F51*(1+$C$10)</f>
        <v/>
      </c>
      <c r="G52" s="10">
        <f>MAX(0,G51*(1+$C$7)-$C$15*12)</f>
        <v/>
      </c>
      <c r="H52" s="10">
        <f>F52*0.94-G52</f>
        <v/>
      </c>
      <c r="I52" s="10">
        <f>I51*(1+$C$13)+MAX(0,($C$15*12+F51*($C$8+$C$9))-$C$11*12*(1+$C$12)^(30))</f>
        <v/>
      </c>
    </row>
    <row r="53">
      <c r="E53" t="n">
        <v>32</v>
      </c>
      <c r="F53" s="10">
        <f>F52*(1+$C$10)</f>
        <v/>
      </c>
      <c r="G53" s="10">
        <f>MAX(0,G52*(1+$C$7)-$C$15*12)</f>
        <v/>
      </c>
      <c r="H53" s="10">
        <f>F53*0.94-G53</f>
        <v/>
      </c>
      <c r="I53" s="10">
        <f>I52*(1+$C$13)+MAX(0,($C$15*12+F52*($C$8+$C$9))-$C$11*12*(1+$C$12)^(31))</f>
        <v/>
      </c>
    </row>
    <row r="54">
      <c r="E54" t="n">
        <v>33</v>
      </c>
      <c r="F54" s="10">
        <f>F53*(1+$C$10)</f>
        <v/>
      </c>
      <c r="G54" s="10">
        <f>MAX(0,G53*(1+$C$7)-$C$15*12)</f>
        <v/>
      </c>
      <c r="H54" s="10">
        <f>F54*0.94-G54</f>
        <v/>
      </c>
      <c r="I54" s="10">
        <f>I53*(1+$C$13)+MAX(0,($C$15*12+F53*($C$8+$C$9))-$C$11*12*(1+$C$12)^(32))</f>
        <v/>
      </c>
    </row>
    <row r="55">
      <c r="E55" t="n">
        <v>34</v>
      </c>
      <c r="F55" s="10">
        <f>F54*(1+$C$10)</f>
        <v/>
      </c>
      <c r="G55" s="10">
        <f>MAX(0,G54*(1+$C$7)-$C$15*12)</f>
        <v/>
      </c>
      <c r="H55" s="10">
        <f>F55*0.94-G55</f>
        <v/>
      </c>
      <c r="I55" s="10">
        <f>I54*(1+$C$13)+MAX(0,($C$15*12+F54*($C$8+$C$9))-$C$11*12*(1+$C$12)^(33))</f>
        <v/>
      </c>
    </row>
    <row r="56">
      <c r="E56" t="n">
        <v>35</v>
      </c>
      <c r="F56" s="10">
        <f>F55*(1+$C$10)</f>
        <v/>
      </c>
      <c r="G56" s="10">
        <f>MAX(0,G55*(1+$C$7)-$C$15*12)</f>
        <v/>
      </c>
      <c r="H56" s="10">
        <f>F56*0.94-G56</f>
        <v/>
      </c>
      <c r="I56" s="10">
        <f>I55*(1+$C$13)+MAX(0,($C$15*12+F55*($C$8+$C$9))-$C$11*12*(1+$C$12)^(34))</f>
        <v/>
      </c>
    </row>
    <row r="57">
      <c r="E57" t="n">
        <v>36</v>
      </c>
      <c r="F57" s="10">
        <f>F56*(1+$C$10)</f>
        <v/>
      </c>
      <c r="G57" s="10">
        <f>MAX(0,G56*(1+$C$7)-$C$15*12)</f>
        <v/>
      </c>
      <c r="H57" s="10">
        <f>F57*0.94-G57</f>
        <v/>
      </c>
      <c r="I57" s="10">
        <f>I56*(1+$C$13)+MAX(0,($C$15*12+F56*($C$8+$C$9))-$C$11*12*(1+$C$12)^(35))</f>
        <v/>
      </c>
    </row>
    <row r="58">
      <c r="E58" t="n">
        <v>37</v>
      </c>
      <c r="F58" s="10">
        <f>F57*(1+$C$10)</f>
        <v/>
      </c>
      <c r="G58" s="10">
        <f>MAX(0,G57*(1+$C$7)-$C$15*12)</f>
        <v/>
      </c>
      <c r="H58" s="10">
        <f>F58*0.94-G58</f>
        <v/>
      </c>
      <c r="I58" s="10">
        <f>I57*(1+$C$13)+MAX(0,($C$15*12+F57*($C$8+$C$9))-$C$11*12*(1+$C$12)^(36))</f>
        <v/>
      </c>
    </row>
    <row r="59">
      <c r="E59" t="n">
        <v>38</v>
      </c>
      <c r="F59" s="10">
        <f>F58*(1+$C$10)</f>
        <v/>
      </c>
      <c r="G59" s="10">
        <f>MAX(0,G58*(1+$C$7)-$C$15*12)</f>
        <v/>
      </c>
      <c r="H59" s="10">
        <f>F59*0.94-G59</f>
        <v/>
      </c>
      <c r="I59" s="10">
        <f>I58*(1+$C$13)+MAX(0,($C$15*12+F58*($C$8+$C$9))-$C$11*12*(1+$C$12)^(37))</f>
        <v/>
      </c>
    </row>
    <row r="60">
      <c r="E60" t="n">
        <v>39</v>
      </c>
      <c r="F60" s="10">
        <f>F59*(1+$C$10)</f>
        <v/>
      </c>
      <c r="G60" s="10">
        <f>MAX(0,G59*(1+$C$7)-$C$15*12)</f>
        <v/>
      </c>
      <c r="H60" s="10">
        <f>F60*0.94-G60</f>
        <v/>
      </c>
      <c r="I60" s="10">
        <f>I59*(1+$C$13)+MAX(0,($C$15*12+F59*($C$8+$C$9))-$C$11*12*(1+$C$12)^(38))</f>
        <v/>
      </c>
    </row>
    <row r="61">
      <c r="E61" t="n">
        <v>40</v>
      </c>
      <c r="F61" s="10">
        <f>F60*(1+$C$10)</f>
        <v/>
      </c>
      <c r="G61" s="10">
        <f>MAX(0,G60*(1+$C$7)-$C$15*12)</f>
        <v/>
      </c>
      <c r="H61" s="10">
        <f>F61*0.94-G61</f>
        <v/>
      </c>
      <c r="I61" s="10">
        <f>I60*(1+$C$13)+MAX(0,($C$15*12+F60*($C$8+$C$9))-$C$11*12*(1+$C$12)^(39))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2026-09-02T14:53:05Z</dcterms:created>
  <dcterms:modified xmlns:dcterms="http://purl.org/dc/terms/" xmlns:xsi="http://www.w3.org/2001/XMLSchema-instance" xsi:type="dcterms:W3CDTF">2026-09-02T14:53:05Z</dcterms:modified>
</cp:coreProperties>
</file>